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0055" windowHeight="4365" activeTab="2"/>
  </bookViews>
  <sheets>
    <sheet name="Calibração Manômetros" sheetId="1" r:id="rId1"/>
    <sheet name="TUBO 1" sheetId="4" r:id="rId2"/>
    <sheet name="TUBO 2" sheetId="8" r:id="rId3"/>
    <sheet name="TUBO 3" sheetId="7" r:id="rId4"/>
    <sheet name="TUBO 4" sheetId="9" r:id="rId5"/>
    <sheet name="Dados dos Tubos" sheetId="3" r:id="rId6"/>
    <sheet name="Plan5" sheetId="5" r:id="rId7"/>
  </sheets>
  <calcPr calcId="124519"/>
</workbook>
</file>

<file path=xl/calcChain.xml><?xml version="1.0" encoding="utf-8"?>
<calcChain xmlns="http://schemas.openxmlformats.org/spreadsheetml/2006/main">
  <c r="E18" i="9"/>
  <c r="F5"/>
  <c r="F3"/>
  <c r="D18"/>
  <c r="D17"/>
  <c r="E16"/>
  <c r="G5"/>
  <c r="H5" s="1"/>
  <c r="E5"/>
  <c r="G4"/>
  <c r="E4"/>
  <c r="F4" s="1"/>
  <c r="H4" s="1"/>
  <c r="G3"/>
  <c r="H3" s="1"/>
  <c r="E3"/>
  <c r="G7" i="8"/>
  <c r="E7"/>
  <c r="F7" s="1"/>
  <c r="E6"/>
  <c r="F6" s="1"/>
  <c r="H6" s="1"/>
  <c r="G6"/>
  <c r="D18"/>
  <c r="D17"/>
  <c r="D16"/>
  <c r="E18"/>
  <c r="G5" i="3"/>
  <c r="G5" i="8"/>
  <c r="E5"/>
  <c r="F5" s="1"/>
  <c r="G4"/>
  <c r="E4"/>
  <c r="F4" s="1"/>
  <c r="G3"/>
  <c r="E3"/>
  <c r="F3" s="1"/>
  <c r="L11" i="7"/>
  <c r="E16" s="1"/>
  <c r="G5"/>
  <c r="E5"/>
  <c r="G4"/>
  <c r="E4"/>
  <c r="G3"/>
  <c r="E3"/>
  <c r="E4" i="4"/>
  <c r="E5"/>
  <c r="E6"/>
  <c r="E7"/>
  <c r="E8"/>
  <c r="E9"/>
  <c r="E3"/>
  <c r="E17" i="9" l="1"/>
  <c r="D11"/>
  <c r="D16"/>
  <c r="H7" i="8"/>
  <c r="H5"/>
  <c r="H4"/>
  <c r="H3"/>
  <c r="E16"/>
  <c r="E17"/>
  <c r="D17" i="7"/>
  <c r="D16"/>
  <c r="D18"/>
  <c r="E17"/>
  <c r="E18"/>
  <c r="D12" i="9" l="1"/>
  <c r="E11" s="1"/>
  <c r="D15" s="1"/>
  <c r="F16" s="1"/>
  <c r="G8" i="4"/>
  <c r="G9"/>
  <c r="G3"/>
  <c r="G4"/>
  <c r="G5"/>
  <c r="G6"/>
  <c r="G7"/>
  <c r="B5" i="1"/>
  <c r="F18" i="3"/>
  <c r="E16" i="4"/>
  <c r="E17"/>
  <c r="G6" i="3"/>
  <c r="G7"/>
  <c r="G4"/>
  <c r="F7" i="4" s="1"/>
  <c r="I28" i="1"/>
  <c r="F17" i="9" l="1"/>
  <c r="F18"/>
  <c r="F11"/>
  <c r="E15" s="1"/>
  <c r="F9" i="4"/>
  <c r="H9" s="1"/>
  <c r="F8"/>
  <c r="H8" s="1"/>
  <c r="F3"/>
  <c r="H3" s="1"/>
  <c r="F4"/>
  <c r="H4" s="1"/>
  <c r="F5" i="7"/>
  <c r="H5" s="1"/>
  <c r="F3"/>
  <c r="H3" s="1"/>
  <c r="F4"/>
  <c r="H4" s="1"/>
  <c r="H7" i="4"/>
  <c r="D17"/>
  <c r="F5"/>
  <c r="H5" s="1"/>
  <c r="F6"/>
  <c r="H6" s="1"/>
  <c r="E18"/>
  <c r="D18"/>
  <c r="D16"/>
  <c r="D11" i="8" l="1"/>
  <c r="D12"/>
  <c r="E11" s="1"/>
  <c r="D15" s="1"/>
  <c r="D12" i="7"/>
  <c r="E11" s="1"/>
  <c r="D15" s="1"/>
  <c r="D11"/>
  <c r="D11" i="4"/>
  <c r="D12"/>
  <c r="E11" s="1"/>
  <c r="D15" s="1"/>
  <c r="F16" s="1"/>
  <c r="F17" i="8" l="1"/>
  <c r="F18"/>
  <c r="F16"/>
  <c r="F11" i="7"/>
  <c r="E15" s="1"/>
  <c r="F11" i="8"/>
  <c r="E15" s="1"/>
  <c r="F17" i="7"/>
  <c r="F18"/>
  <c r="F16"/>
  <c r="F11" i="4"/>
  <c r="E15" s="1"/>
  <c r="F18"/>
  <c r="F17"/>
</calcChain>
</file>

<file path=xl/sharedStrings.xml><?xml version="1.0" encoding="utf-8"?>
<sst xmlns="http://schemas.openxmlformats.org/spreadsheetml/2006/main" count="197" uniqueCount="99">
  <si>
    <t xml:space="preserve">Tubo 1 </t>
  </si>
  <si>
    <r>
      <t>M</t>
    </r>
    <r>
      <rPr>
        <b/>
        <sz val="8"/>
        <color rgb="FF000000"/>
        <rFont val="Calibri"/>
        <family val="2"/>
        <scheme val="minor"/>
      </rPr>
      <t xml:space="preserve">água </t>
    </r>
    <r>
      <rPr>
        <b/>
        <sz val="12"/>
        <color rgb="FF000000"/>
        <rFont val="Calibri"/>
        <family val="2"/>
        <scheme val="minor"/>
      </rPr>
      <t xml:space="preserve">(g) </t>
    </r>
  </si>
  <si>
    <t xml:space="preserve">h (cmHg) </t>
  </si>
  <si>
    <t xml:space="preserve">Q(g/s) </t>
  </si>
  <si>
    <t xml:space="preserve">Q(cm³/s) </t>
  </si>
  <si>
    <t xml:space="preserve">q(cm/s) </t>
  </si>
  <si>
    <t>ΔIP
(dina/cm²)</t>
  </si>
  <si>
    <r>
      <t>ΔIP/qL
(g/ cm</t>
    </r>
    <r>
      <rPr>
        <b/>
        <sz val="8"/>
        <color rgb="FF000000"/>
        <rFont val="Calibri"/>
        <family val="2"/>
        <scheme val="minor"/>
      </rPr>
      <t>3</t>
    </r>
    <r>
      <rPr>
        <b/>
        <sz val="12"/>
        <color rgb="FF000000"/>
        <rFont val="Calibri"/>
        <family val="2"/>
        <scheme val="minor"/>
      </rPr>
      <t>s)</t>
    </r>
  </si>
  <si>
    <t xml:space="preserve">Ponto 1 </t>
  </si>
  <si>
    <t xml:space="preserve">Ponto 2 </t>
  </si>
  <si>
    <t xml:space="preserve">Ponto 3 </t>
  </si>
  <si>
    <t xml:space="preserve">Ponto 4 </t>
  </si>
  <si>
    <t xml:space="preserve">Ponto 5 </t>
  </si>
  <si>
    <t xml:space="preserve">Ponto 6 </t>
  </si>
  <si>
    <t xml:space="preserve">Ponto 7 </t>
  </si>
  <si>
    <t xml:space="preserve">Tubo </t>
  </si>
  <si>
    <r>
      <t>M</t>
    </r>
    <r>
      <rPr>
        <b/>
        <sz val="8"/>
        <color rgb="FF000000"/>
        <rFont val="Times New Roman"/>
        <family val="1"/>
      </rPr>
      <t xml:space="preserve">esfera </t>
    </r>
    <r>
      <rPr>
        <b/>
        <sz val="11"/>
        <color rgb="FF000000"/>
        <rFont val="Times New Roman"/>
        <family val="1"/>
      </rPr>
      <t xml:space="preserve">(g) </t>
    </r>
  </si>
  <si>
    <t xml:space="preserve">Dt (cm) </t>
  </si>
  <si>
    <t xml:space="preserve">H (cm) </t>
  </si>
  <si>
    <t xml:space="preserve">L (cm) </t>
  </si>
  <si>
    <t>D (cm)</t>
  </si>
  <si>
    <t xml:space="preserve">1565,10 </t>
  </si>
  <si>
    <t xml:space="preserve">3,100 </t>
  </si>
  <si>
    <t xml:space="preserve">909,90 </t>
  </si>
  <si>
    <t xml:space="preserve">1,805 </t>
  </si>
  <si>
    <t>Área(cm2)</t>
  </si>
  <si>
    <t>Densidade H20 (g/cm3)</t>
  </si>
  <si>
    <t>Viscosidade (Poise)</t>
  </si>
  <si>
    <t>Densidade Mercúrio</t>
  </si>
  <si>
    <t>Inclinação</t>
  </si>
  <si>
    <t>K</t>
  </si>
  <si>
    <t>Interceptação</t>
  </si>
  <si>
    <t>C</t>
  </si>
  <si>
    <t>Porosidade</t>
  </si>
  <si>
    <t>EXPERIMENTAL</t>
  </si>
  <si>
    <t>Leva 1949</t>
  </si>
  <si>
    <t>Experimental</t>
  </si>
  <si>
    <t>McDonald et al 1979</t>
  </si>
  <si>
    <t>Ergun 1952</t>
  </si>
  <si>
    <t xml:space="preserve"> </t>
  </si>
  <si>
    <t>DESVIO %</t>
  </si>
  <si>
    <t xml:space="preserve">Tubo 3 </t>
  </si>
  <si>
    <t xml:space="preserve">Tempo (s) </t>
  </si>
  <si>
    <r>
      <t>Q(cm</t>
    </r>
    <r>
      <rPr>
        <b/>
        <sz val="8"/>
        <color rgb="FF000000"/>
        <rFont val="Calibri"/>
        <family val="2"/>
        <scheme val="minor"/>
      </rPr>
      <t>3</t>
    </r>
    <r>
      <rPr>
        <b/>
        <sz val="12"/>
        <color rgb="FF000000"/>
        <rFont val="Calibri"/>
        <family val="2"/>
        <scheme val="minor"/>
      </rPr>
      <t xml:space="preserve">/s) </t>
    </r>
  </si>
  <si>
    <r>
      <t>ΔIP
(dina/cm</t>
    </r>
    <r>
      <rPr>
        <b/>
        <sz val="8"/>
        <color rgb="FF000000"/>
        <rFont val="Calibri"/>
        <family val="2"/>
        <scheme val="minor"/>
      </rPr>
      <t>2</t>
    </r>
    <r>
      <rPr>
        <b/>
        <sz val="12"/>
        <color rgb="FF000000"/>
        <rFont val="Calibri"/>
        <family val="2"/>
        <scheme val="minor"/>
      </rPr>
      <t xml:space="preserve">) </t>
    </r>
  </si>
  <si>
    <r>
      <t>ΔIP/qL (g/cm</t>
    </r>
    <r>
      <rPr>
        <b/>
        <sz val="8"/>
        <color rgb="FF000000"/>
        <rFont val="Calibri"/>
        <family val="2"/>
        <scheme val="minor"/>
      </rPr>
      <t>3</t>
    </r>
    <r>
      <rPr>
        <b/>
        <sz val="12"/>
        <color rgb="FF000000"/>
        <rFont val="Calibri"/>
        <family val="2"/>
        <scheme val="minor"/>
      </rPr>
      <t>s)</t>
    </r>
  </si>
  <si>
    <t xml:space="preserve">162,50 </t>
  </si>
  <si>
    <t xml:space="preserve">5,5 </t>
  </si>
  <si>
    <t xml:space="preserve">4,06 </t>
  </si>
  <si>
    <t xml:space="preserve">4,08 </t>
  </si>
  <si>
    <t xml:space="preserve">2,87 </t>
  </si>
  <si>
    <t xml:space="preserve">67637,34 </t>
  </si>
  <si>
    <t>229,57</t>
  </si>
  <si>
    <t xml:space="preserve">279,89 </t>
  </si>
  <si>
    <t xml:space="preserve">13,0 </t>
  </si>
  <si>
    <t xml:space="preserve">7,00 </t>
  </si>
  <si>
    <t xml:space="preserve">7,02 </t>
  </si>
  <si>
    <t xml:space="preserve">4,95 </t>
  </si>
  <si>
    <t xml:space="preserve">159870,08 </t>
  </si>
  <si>
    <t>315,03</t>
  </si>
  <si>
    <t xml:space="preserve">381,32 </t>
  </si>
  <si>
    <t xml:space="preserve">20,0 </t>
  </si>
  <si>
    <t xml:space="preserve">9,53 </t>
  </si>
  <si>
    <t xml:space="preserve">9,56 </t>
  </si>
  <si>
    <t xml:space="preserve">6,74 </t>
  </si>
  <si>
    <t xml:space="preserve">245953,96 </t>
  </si>
  <si>
    <t>355,75</t>
  </si>
  <si>
    <t xml:space="preserve">502,91 </t>
  </si>
  <si>
    <t xml:space="preserve">30,0 </t>
  </si>
  <si>
    <t xml:space="preserve">12,57 </t>
  </si>
  <si>
    <t xml:space="preserve">12,61 </t>
  </si>
  <si>
    <t xml:space="preserve">8,89 </t>
  </si>
  <si>
    <t xml:space="preserve">368930,95 </t>
  </si>
  <si>
    <t>404,61</t>
  </si>
  <si>
    <t xml:space="preserve">644,14 </t>
  </si>
  <si>
    <t xml:space="preserve">40,5 </t>
  </si>
  <si>
    <t xml:space="preserve">16,10 </t>
  </si>
  <si>
    <t xml:space="preserve">16,15 </t>
  </si>
  <si>
    <t xml:space="preserve">11,39 </t>
  </si>
  <si>
    <t xml:space="preserve">498056,78 </t>
  </si>
  <si>
    <t>426,46</t>
  </si>
  <si>
    <t xml:space="preserve">746,71 </t>
  </si>
  <si>
    <t xml:space="preserve">47,0 </t>
  </si>
  <si>
    <t xml:space="preserve">18,67 </t>
  </si>
  <si>
    <t xml:space="preserve">18,72 </t>
  </si>
  <si>
    <t xml:space="preserve">13,20 </t>
  </si>
  <si>
    <t xml:space="preserve">577991,82 </t>
  </si>
  <si>
    <t>426,92</t>
  </si>
  <si>
    <t xml:space="preserve">848,15 </t>
  </si>
  <si>
    <t xml:space="preserve">62,5 </t>
  </si>
  <si>
    <t xml:space="preserve">21,20 </t>
  </si>
  <si>
    <t xml:space="preserve">21,27 </t>
  </si>
  <si>
    <t xml:space="preserve">15,00 </t>
  </si>
  <si>
    <t xml:space="preserve">768606,14 </t>
  </si>
  <si>
    <t>499,81</t>
  </si>
  <si>
    <t>Ponto 6</t>
  </si>
  <si>
    <t>Ponto 7</t>
  </si>
  <si>
    <t>Vazão (L/min)</t>
  </si>
  <si>
    <t>Queda de Pressão (cmH20)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</si>
</sst>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0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rgb="FF000000"/>
      <name val="Times New Roman"/>
      <family val="1"/>
    </font>
    <font>
      <b/>
      <sz val="22"/>
      <color theme="1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2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13" fillId="2" borderId="1" xfId="0" applyFont="1" applyFill="1" applyBorder="1"/>
    <xf numFmtId="2" fontId="1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1" fontId="10" fillId="2" borderId="1" xfId="0" applyNumberFormat="1" applyFont="1" applyFill="1" applyBorder="1" applyAlignment="1">
      <alignment horizontal="center" vertical="center"/>
    </xf>
    <xf numFmtId="11" fontId="10" fillId="2" borderId="1" xfId="0" applyNumberFormat="1" applyFont="1" applyFill="1" applyBorder="1"/>
    <xf numFmtId="0" fontId="15" fillId="2" borderId="0" xfId="0" applyFont="1" applyFill="1"/>
    <xf numFmtId="0" fontId="0" fillId="2" borderId="2" xfId="0" applyFill="1" applyBorder="1"/>
    <xf numFmtId="0" fontId="16" fillId="2" borderId="2" xfId="0" applyFont="1" applyFill="1" applyBorder="1"/>
    <xf numFmtId="11" fontId="15" fillId="2" borderId="2" xfId="0" applyNumberFormat="1" applyFont="1" applyFill="1" applyBorder="1"/>
    <xf numFmtId="2" fontId="14" fillId="2" borderId="1" xfId="0" applyNumberFormat="1" applyFont="1" applyFill="1" applyBorder="1"/>
    <xf numFmtId="2" fontId="12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/>
    <xf numFmtId="10" fontId="15" fillId="2" borderId="2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scatterChart>
        <c:scatterStyle val="lineMarker"/>
        <c:ser>
          <c:idx val="0"/>
          <c:order val="0"/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'Calibração Manômetros'!$A$1:$A$2</c:f>
              <c:numCache>
                <c:formatCode>General</c:formatCode>
                <c:ptCount val="2"/>
                <c:pt idx="0">
                  <c:v>0</c:v>
                </c:pt>
                <c:pt idx="1">
                  <c:v>2549</c:v>
                </c:pt>
              </c:numCache>
            </c:numRef>
          </c:xVal>
          <c:yVal>
            <c:numRef>
              <c:f>'Calibração Manômetros'!$B$1:$B$2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yVal>
        </c:ser>
        <c:axId val="98207232"/>
        <c:axId val="98208768"/>
      </c:scatterChart>
      <c:valAx>
        <c:axId val="98207232"/>
        <c:scaling>
          <c:orientation val="minMax"/>
        </c:scaling>
        <c:axPos val="b"/>
        <c:numFmt formatCode="General" sourceLinked="1"/>
        <c:tickLblPos val="nextTo"/>
        <c:crossAx val="98208768"/>
        <c:crosses val="autoZero"/>
        <c:crossBetween val="midCat"/>
      </c:valAx>
      <c:valAx>
        <c:axId val="98208768"/>
        <c:scaling>
          <c:orientation val="minMax"/>
        </c:scaling>
        <c:axPos val="l"/>
        <c:majorGridlines/>
        <c:numFmt formatCode="General" sourceLinked="1"/>
        <c:tickLblPos val="nextTo"/>
        <c:crossAx val="9820723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8199685039370135"/>
                  <c:y val="1.1244327792359307E-2"/>
                </c:manualLayout>
              </c:layout>
              <c:numFmt formatCode="General" sourceLinked="0"/>
            </c:trendlineLbl>
          </c:trendline>
          <c:xVal>
            <c:numRef>
              <c:f>'TUBO 1'!$F$3:$F$9</c:f>
              <c:numCache>
                <c:formatCode>0.00</c:formatCode>
                <c:ptCount val="7"/>
                <c:pt idx="0">
                  <c:v>10.599601223127731</c:v>
                </c:pt>
                <c:pt idx="1">
                  <c:v>10.157951172164077</c:v>
                </c:pt>
                <c:pt idx="2">
                  <c:v>9.71630112120042</c:v>
                </c:pt>
                <c:pt idx="3">
                  <c:v>8.8330010192731105</c:v>
                </c:pt>
                <c:pt idx="4">
                  <c:v>6.6247507644548325</c:v>
                </c:pt>
                <c:pt idx="5">
                  <c:v>5.7414506625275212</c:v>
                </c:pt>
                <c:pt idx="6">
                  <c:v>4.4165005096365553</c:v>
                </c:pt>
              </c:numCache>
            </c:numRef>
          </c:xVal>
          <c:yVal>
            <c:numRef>
              <c:f>'TUBO 1'!$H$3:$H$9</c:f>
              <c:numCache>
                <c:formatCode>0.00</c:formatCode>
                <c:ptCount val="7"/>
                <c:pt idx="0">
                  <c:v>390.88300708518761</c:v>
                </c:pt>
                <c:pt idx="1">
                  <c:v>377.4680873154</c:v>
                </c:pt>
                <c:pt idx="2">
                  <c:v>359.30117402214552</c:v>
                </c:pt>
                <c:pt idx="3">
                  <c:v>328.61927601576002</c:v>
                </c:pt>
                <c:pt idx="4">
                  <c:v>262.30331400897603</c:v>
                </c:pt>
                <c:pt idx="5">
                  <c:v>221.01525112494465</c:v>
                </c:pt>
                <c:pt idx="6">
                  <c:v>197.61564571218</c:v>
                </c:pt>
              </c:numCache>
            </c:numRef>
          </c:yVal>
        </c:ser>
        <c:axId val="98070912"/>
        <c:axId val="98072448"/>
      </c:scatterChart>
      <c:valAx>
        <c:axId val="98070912"/>
        <c:scaling>
          <c:orientation val="minMax"/>
        </c:scaling>
        <c:axPos val="b"/>
        <c:numFmt formatCode="0.00" sourceLinked="1"/>
        <c:tickLblPos val="nextTo"/>
        <c:crossAx val="98072448"/>
        <c:crosses val="autoZero"/>
        <c:crossBetween val="midCat"/>
      </c:valAx>
      <c:valAx>
        <c:axId val="98072448"/>
        <c:scaling>
          <c:orientation val="minMax"/>
        </c:scaling>
        <c:axPos val="l"/>
        <c:numFmt formatCode="0.00" sourceLinked="1"/>
        <c:tickLblPos val="nextTo"/>
        <c:crossAx val="9807091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"/>
  <c:chart>
    <c:plotArea>
      <c:layout>
        <c:manualLayout>
          <c:layoutTarget val="inner"/>
          <c:xMode val="edge"/>
          <c:yMode val="edge"/>
          <c:x val="0.16040262467191602"/>
          <c:y val="5.8511302687954458E-2"/>
          <c:w val="0.65591417322834689"/>
          <c:h val="0.7703115371448139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8199685039370157"/>
                  <c:y val="1.1244327792359317E-2"/>
                </c:manualLayout>
              </c:layout>
              <c:numFmt formatCode="General" sourceLinked="0"/>
            </c:trendlineLbl>
          </c:trendline>
          <c:xVal>
            <c:numRef>
              <c:f>'TUBO 2'!$F$3:$F$9</c:f>
              <c:numCache>
                <c:formatCode>0.00</c:formatCode>
                <c:ptCount val="7"/>
                <c:pt idx="0">
                  <c:v>6.7036707115782308</c:v>
                </c:pt>
                <c:pt idx="1">
                  <c:v>5.797769264067659</c:v>
                </c:pt>
                <c:pt idx="2">
                  <c:v>5.0730481060592014</c:v>
                </c:pt>
                <c:pt idx="3">
                  <c:v>4.3483269480507447</c:v>
                </c:pt>
                <c:pt idx="4">
                  <c:v>3.6236057900422871</c:v>
                </c:pt>
              </c:numCache>
            </c:numRef>
          </c:xVal>
          <c:yVal>
            <c:numRef>
              <c:f>'TUBO 2'!$H$3:$H$9</c:f>
              <c:numCache>
                <c:formatCode>0.00</c:formatCode>
                <c:ptCount val="7"/>
                <c:pt idx="0">
                  <c:v>406.6696168848934</c:v>
                </c:pt>
                <c:pt idx="1">
                  <c:v>378.87565026326399</c:v>
                </c:pt>
                <c:pt idx="2">
                  <c:v>364.95776923318493</c:v>
                </c:pt>
                <c:pt idx="3">
                  <c:v>333.771406184304</c:v>
                </c:pt>
                <c:pt idx="4">
                  <c:v>324.75055736851198</c:v>
                </c:pt>
              </c:numCache>
            </c:numRef>
          </c:yVal>
        </c:ser>
        <c:axId val="79996800"/>
        <c:axId val="79998336"/>
      </c:scatterChart>
      <c:valAx>
        <c:axId val="79996800"/>
        <c:scaling>
          <c:orientation val="minMax"/>
        </c:scaling>
        <c:axPos val="b"/>
        <c:numFmt formatCode="0.00" sourceLinked="1"/>
        <c:tickLblPos val="nextTo"/>
        <c:crossAx val="79998336"/>
        <c:crosses val="autoZero"/>
        <c:crossBetween val="midCat"/>
      </c:valAx>
      <c:valAx>
        <c:axId val="79998336"/>
        <c:scaling>
          <c:orientation val="minMax"/>
          <c:max val="700"/>
        </c:scaling>
        <c:axPos val="l"/>
        <c:numFmt formatCode="0.00" sourceLinked="1"/>
        <c:tickLblPos val="nextTo"/>
        <c:crossAx val="799968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"/>
  <c:chart>
    <c:plotArea>
      <c:layout>
        <c:manualLayout>
          <c:layoutTarget val="inner"/>
          <c:xMode val="edge"/>
          <c:yMode val="edge"/>
          <c:x val="0.16040262467191602"/>
          <c:y val="5.8511302687954479E-2"/>
          <c:w val="0.65591417322834666"/>
          <c:h val="0.7703115371448137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8199685039370146"/>
                  <c:y val="1.1244327792359312E-2"/>
                </c:manualLayout>
              </c:layout>
              <c:numFmt formatCode="General" sourceLinked="0"/>
            </c:trendlineLbl>
          </c:trendline>
          <c:xVal>
            <c:numRef>
              <c:f>'TUBO 3'!$F$3:$F$9</c:f>
              <c:numCache>
                <c:formatCode>0.00</c:formatCode>
                <c:ptCount val="7"/>
                <c:pt idx="0">
                  <c:v>10.060461012766174</c:v>
                </c:pt>
                <c:pt idx="1">
                  <c:v>9.222089261702326</c:v>
                </c:pt>
                <c:pt idx="2">
                  <c:v>8.383717510638478</c:v>
                </c:pt>
              </c:numCache>
            </c:numRef>
          </c:xVal>
          <c:yVal>
            <c:numRef>
              <c:f>'TUBO 3'!$H$3:$H$9</c:f>
              <c:numCache>
                <c:formatCode>0.00</c:formatCode>
                <c:ptCount val="7"/>
                <c:pt idx="0">
                  <c:v>664.38727127100015</c:v>
                </c:pt>
                <c:pt idx="1">
                  <c:v>614.62202752022733</c:v>
                </c:pt>
                <c:pt idx="2">
                  <c:v>584.8479500625001</c:v>
                </c:pt>
              </c:numCache>
            </c:numRef>
          </c:yVal>
        </c:ser>
        <c:axId val="99392128"/>
        <c:axId val="100970880"/>
      </c:scatterChart>
      <c:valAx>
        <c:axId val="99392128"/>
        <c:scaling>
          <c:orientation val="minMax"/>
        </c:scaling>
        <c:axPos val="b"/>
        <c:numFmt formatCode="0.00" sourceLinked="1"/>
        <c:tickLblPos val="nextTo"/>
        <c:crossAx val="100970880"/>
        <c:crosses val="autoZero"/>
        <c:crossBetween val="midCat"/>
      </c:valAx>
      <c:valAx>
        <c:axId val="100970880"/>
        <c:scaling>
          <c:orientation val="minMax"/>
          <c:max val="700"/>
          <c:min val="300"/>
        </c:scaling>
        <c:axPos val="l"/>
        <c:numFmt formatCode="0.00" sourceLinked="1"/>
        <c:tickLblPos val="nextTo"/>
        <c:crossAx val="9939212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"/>
  <c:chart>
    <c:plotArea>
      <c:layout>
        <c:manualLayout>
          <c:layoutTarget val="inner"/>
          <c:xMode val="edge"/>
          <c:yMode val="edge"/>
          <c:x val="0.16040262467191602"/>
          <c:y val="5.8511302687954458E-2"/>
          <c:w val="0.65591417322834689"/>
          <c:h val="0.7703115371448139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8199685039370157"/>
                  <c:y val="1.1244327792359317E-2"/>
                </c:manualLayout>
              </c:layout>
              <c:numFmt formatCode="General" sourceLinked="0"/>
            </c:trendlineLbl>
          </c:trendline>
          <c:xVal>
            <c:numRef>
              <c:f>'TUBO 4'!$F$3:$F$9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'TUBO 4'!$H$3:$H$9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</c:ser>
        <c:axId val="82928000"/>
        <c:axId val="82929920"/>
      </c:scatterChart>
      <c:valAx>
        <c:axId val="82928000"/>
        <c:scaling>
          <c:orientation val="minMax"/>
        </c:scaling>
        <c:axPos val="b"/>
        <c:numFmt formatCode="0.00" sourceLinked="1"/>
        <c:tickLblPos val="nextTo"/>
        <c:crossAx val="82929920"/>
        <c:crosses val="autoZero"/>
        <c:crossBetween val="midCat"/>
      </c:valAx>
      <c:valAx>
        <c:axId val="82929920"/>
        <c:scaling>
          <c:orientation val="minMax"/>
          <c:max val="700"/>
          <c:min val="300"/>
        </c:scaling>
        <c:axPos val="l"/>
        <c:numFmt formatCode="0.00" sourceLinked="1"/>
        <c:tickLblPos val="nextTo"/>
        <c:crossAx val="829280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8</xdr:row>
      <xdr:rowOff>19050</xdr:rowOff>
    </xdr:from>
    <xdr:to>
      <xdr:col>14</xdr:col>
      <xdr:colOff>180975</xdr:colOff>
      <xdr:row>22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133350</xdr:colOff>
      <xdr:row>11</xdr:row>
      <xdr:rowOff>95250</xdr:rowOff>
    </xdr:from>
    <xdr:to>
      <xdr:col>12</xdr:col>
      <xdr:colOff>257176</xdr:colOff>
      <xdr:row>14</xdr:row>
      <xdr:rowOff>246906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28111" t="38151" r="57833" b="50521"/>
        <a:stretch>
          <a:fillRect/>
        </a:stretch>
      </xdr:blipFill>
      <xdr:spPr bwMode="auto">
        <a:xfrm>
          <a:off x="10801350" y="2828925"/>
          <a:ext cx="1743076" cy="78983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6</xdr:col>
      <xdr:colOff>533400</xdr:colOff>
      <xdr:row>10</xdr:row>
      <xdr:rowOff>47624</xdr:rowOff>
    </xdr:from>
    <xdr:to>
      <xdr:col>10</xdr:col>
      <xdr:colOff>19050</xdr:colOff>
      <xdr:row>17</xdr:row>
      <xdr:rowOff>104774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133350</xdr:colOff>
      <xdr:row>16</xdr:row>
      <xdr:rowOff>95250</xdr:rowOff>
    </xdr:from>
    <xdr:to>
      <xdr:col>12</xdr:col>
      <xdr:colOff>257176</xdr:colOff>
      <xdr:row>18</xdr:row>
      <xdr:rowOff>180231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28111" t="38151" r="57833" b="50521"/>
        <a:stretch>
          <a:fillRect/>
        </a:stretch>
      </xdr:blipFill>
      <xdr:spPr bwMode="auto">
        <a:xfrm>
          <a:off x="10906125" y="4333875"/>
          <a:ext cx="1743076" cy="78983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6</xdr:col>
      <xdr:colOff>133350</xdr:colOff>
      <xdr:row>11</xdr:row>
      <xdr:rowOff>57149</xdr:rowOff>
    </xdr:from>
    <xdr:to>
      <xdr:col>9</xdr:col>
      <xdr:colOff>819150</xdr:colOff>
      <xdr:row>19</xdr:row>
      <xdr:rowOff>123824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133350</xdr:colOff>
      <xdr:row>16</xdr:row>
      <xdr:rowOff>95250</xdr:rowOff>
    </xdr:from>
    <xdr:to>
      <xdr:col>12</xdr:col>
      <xdr:colOff>257176</xdr:colOff>
      <xdr:row>18</xdr:row>
      <xdr:rowOff>180231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28111" t="38151" r="57833" b="50521"/>
        <a:stretch>
          <a:fillRect/>
        </a:stretch>
      </xdr:blipFill>
      <xdr:spPr bwMode="auto">
        <a:xfrm>
          <a:off x="10801350" y="2828925"/>
          <a:ext cx="1743076" cy="78983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6</xdr:col>
      <xdr:colOff>133350</xdr:colOff>
      <xdr:row>11</xdr:row>
      <xdr:rowOff>57149</xdr:rowOff>
    </xdr:from>
    <xdr:to>
      <xdr:col>9</xdr:col>
      <xdr:colOff>819150</xdr:colOff>
      <xdr:row>19</xdr:row>
      <xdr:rowOff>123824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133350</xdr:colOff>
      <xdr:row>16</xdr:row>
      <xdr:rowOff>95250</xdr:rowOff>
    </xdr:from>
    <xdr:to>
      <xdr:col>12</xdr:col>
      <xdr:colOff>257176</xdr:colOff>
      <xdr:row>18</xdr:row>
      <xdr:rowOff>180231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28111" t="38151" r="57833" b="50521"/>
        <a:stretch>
          <a:fillRect/>
        </a:stretch>
      </xdr:blipFill>
      <xdr:spPr bwMode="auto">
        <a:xfrm>
          <a:off x="10906125" y="4333875"/>
          <a:ext cx="1743076" cy="78983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6</xdr:col>
      <xdr:colOff>133350</xdr:colOff>
      <xdr:row>11</xdr:row>
      <xdr:rowOff>57149</xdr:rowOff>
    </xdr:from>
    <xdr:to>
      <xdr:col>9</xdr:col>
      <xdr:colOff>819150</xdr:colOff>
      <xdr:row>19</xdr:row>
      <xdr:rowOff>123824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B6" sqref="B6"/>
    </sheetView>
  </sheetViews>
  <sheetFormatPr defaultRowHeight="15"/>
  <sheetData>
    <row r="1" spans="1:5">
      <c r="A1">
        <v>0</v>
      </c>
      <c r="B1">
        <v>1</v>
      </c>
      <c r="D1">
        <v>1.02</v>
      </c>
      <c r="E1">
        <v>0</v>
      </c>
    </row>
    <row r="2" spans="1:5">
      <c r="A2">
        <v>2549</v>
      </c>
      <c r="B2">
        <v>5</v>
      </c>
      <c r="D2">
        <v>5</v>
      </c>
      <c r="E2">
        <v>611</v>
      </c>
    </row>
    <row r="5" spans="1:5">
      <c r="B5">
        <f>101*0.001+1</f>
        <v>1.101</v>
      </c>
    </row>
    <row r="28" spans="9:9">
      <c r="I28">
        <f>567/30</f>
        <v>18.899999999999999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9"/>
  <sheetViews>
    <sheetView topLeftCell="A2" workbookViewId="0">
      <selection activeCell="L12" sqref="L12"/>
    </sheetView>
  </sheetViews>
  <sheetFormatPr defaultColWidth="13.7109375" defaultRowHeight="15"/>
  <cols>
    <col min="1" max="1" width="2.85546875" style="7" customWidth="1"/>
    <col min="2" max="2" width="13.7109375" style="7"/>
    <col min="3" max="3" width="25.7109375" style="7" customWidth="1"/>
    <col min="4" max="4" width="17.28515625" style="7" bestFit="1" customWidth="1"/>
    <col min="5" max="5" width="18.140625" style="7" bestFit="1" customWidth="1"/>
    <col min="6" max="6" width="19" style="7" bestFit="1" customWidth="1"/>
    <col min="7" max="8" width="13.7109375" style="7"/>
    <col min="9" max="9" width="19.42578125" style="7" customWidth="1"/>
    <col min="10" max="10" width="18" style="7" customWidth="1"/>
    <col min="11" max="11" width="4.5703125" style="7" customWidth="1"/>
    <col min="12" max="12" width="19.7109375" style="7" customWidth="1"/>
    <col min="13" max="16384" width="13.7109375" style="7"/>
  </cols>
  <sheetData>
    <row r="1" spans="2:12" ht="10.5" customHeight="1" thickBot="1"/>
    <row r="2" spans="2:12" ht="31.5" customHeight="1" thickTop="1" thickBot="1">
      <c r="B2" s="28" t="s">
        <v>0</v>
      </c>
      <c r="C2" s="26" t="s">
        <v>97</v>
      </c>
      <c r="D2" s="26" t="s">
        <v>98</v>
      </c>
      <c r="E2" s="26" t="s">
        <v>4</v>
      </c>
      <c r="F2" s="26" t="s">
        <v>5</v>
      </c>
      <c r="G2" s="26" t="s">
        <v>6</v>
      </c>
      <c r="H2" s="26" t="s">
        <v>7</v>
      </c>
      <c r="L2" s="6" t="s">
        <v>26</v>
      </c>
    </row>
    <row r="3" spans="2:12" ht="17.25" thickTop="1" thickBot="1">
      <c r="B3" s="26" t="s">
        <v>8</v>
      </c>
      <c r="C3" s="30">
        <v>4.8</v>
      </c>
      <c r="D3" s="29">
        <v>211.25</v>
      </c>
      <c r="E3" s="27">
        <f t="shared" ref="E3:E9" si="0">C3*1000/60</f>
        <v>80</v>
      </c>
      <c r="F3" s="27">
        <f>E3/'Dados dos Tubos'!$G$4</f>
        <v>10.599601223127731</v>
      </c>
      <c r="G3" s="27">
        <f t="shared" ref="G3:G9" si="1">D3*980.64</f>
        <v>207160.2</v>
      </c>
      <c r="H3" s="27">
        <f>G3/(F3*'Dados dos Tubos'!$I$4)</f>
        <v>390.88300708518761</v>
      </c>
      <c r="L3" s="12">
        <v>0.99695</v>
      </c>
    </row>
    <row r="4" spans="2:12" ht="17.25" thickTop="1" thickBot="1">
      <c r="B4" s="26" t="s">
        <v>9</v>
      </c>
      <c r="C4" s="30">
        <v>4.5999999999999996</v>
      </c>
      <c r="D4" s="29">
        <v>195.5</v>
      </c>
      <c r="E4" s="27">
        <f t="shared" si="0"/>
        <v>76.666666666666671</v>
      </c>
      <c r="F4" s="27">
        <f>E4/'Dados dos Tubos'!$G$4</f>
        <v>10.157951172164077</v>
      </c>
      <c r="G4" s="27">
        <f t="shared" si="1"/>
        <v>191715.12</v>
      </c>
      <c r="H4" s="27">
        <f>G4/(F4*'Dados dos Tubos'!$I$4)</f>
        <v>377.4680873154</v>
      </c>
      <c r="L4" s="12"/>
    </row>
    <row r="5" spans="2:12" ht="17.25" thickTop="1" thickBot="1">
      <c r="B5" s="26" t="s">
        <v>10</v>
      </c>
      <c r="C5" s="30">
        <v>4.4000000000000004</v>
      </c>
      <c r="D5" s="29">
        <v>178</v>
      </c>
      <c r="E5" s="27">
        <f t="shared" si="0"/>
        <v>73.333333333333329</v>
      </c>
      <c r="F5" s="27">
        <f>E5/'Dados dos Tubos'!$G$4</f>
        <v>9.71630112120042</v>
      </c>
      <c r="G5" s="27">
        <f t="shared" si="1"/>
        <v>174553.91999999998</v>
      </c>
      <c r="H5" s="27">
        <f>G5/(F5*'Dados dos Tubos'!$I$4)</f>
        <v>359.30117402214552</v>
      </c>
      <c r="L5" s="12" t="s">
        <v>27</v>
      </c>
    </row>
    <row r="6" spans="2:12" ht="15.75" customHeight="1" thickTop="1" thickBot="1">
      <c r="B6" s="26" t="s">
        <v>11</v>
      </c>
      <c r="C6" s="30">
        <v>4</v>
      </c>
      <c r="D6" s="29">
        <v>148</v>
      </c>
      <c r="E6" s="27">
        <f t="shared" si="0"/>
        <v>66.666666666666671</v>
      </c>
      <c r="F6" s="27">
        <f>E6/'Dados dos Tubos'!$G$4</f>
        <v>8.8330010192731105</v>
      </c>
      <c r="G6" s="27">
        <f t="shared" si="1"/>
        <v>145134.72</v>
      </c>
      <c r="H6" s="27">
        <f>G6/(F6*'Dados dos Tubos'!$I$4)</f>
        <v>328.61927601576002</v>
      </c>
      <c r="L6" s="12">
        <v>8.9999999999999993E-3</v>
      </c>
    </row>
    <row r="7" spans="2:12" ht="17.25" thickTop="1" thickBot="1">
      <c r="B7" s="26" t="s">
        <v>12</v>
      </c>
      <c r="C7" s="30">
        <v>3</v>
      </c>
      <c r="D7" s="29">
        <v>88.6</v>
      </c>
      <c r="E7" s="27">
        <f t="shared" si="0"/>
        <v>50</v>
      </c>
      <c r="F7" s="27">
        <f>E7/'Dados dos Tubos'!$G$4</f>
        <v>6.6247507644548325</v>
      </c>
      <c r="G7" s="27">
        <f t="shared" si="1"/>
        <v>86884.703999999998</v>
      </c>
      <c r="H7" s="27">
        <f>G7/(F7*'Dados dos Tubos'!$I$4)</f>
        <v>262.30331400897603</v>
      </c>
      <c r="L7" s="12"/>
    </row>
    <row r="8" spans="2:12" ht="17.25" thickTop="1" thickBot="1">
      <c r="B8" s="26" t="s">
        <v>95</v>
      </c>
      <c r="C8" s="30">
        <v>2.6</v>
      </c>
      <c r="D8" s="29">
        <v>64.7</v>
      </c>
      <c r="E8" s="27">
        <f t="shared" si="0"/>
        <v>43.333333333333336</v>
      </c>
      <c r="F8" s="27">
        <f>E8/'Dados dos Tubos'!$G$4</f>
        <v>5.7414506625275212</v>
      </c>
      <c r="G8" s="27">
        <f t="shared" si="1"/>
        <v>63447.408000000003</v>
      </c>
      <c r="H8" s="27">
        <f>G8/(F8*'Dados dos Tubos'!$I$4)</f>
        <v>221.01525112494465</v>
      </c>
      <c r="L8" s="12" t="s">
        <v>28</v>
      </c>
    </row>
    <row r="9" spans="2:12" ht="17.25" thickTop="1" thickBot="1">
      <c r="B9" s="26" t="s">
        <v>96</v>
      </c>
      <c r="C9" s="30">
        <v>2</v>
      </c>
      <c r="D9" s="29">
        <v>44.5</v>
      </c>
      <c r="E9" s="27">
        <f t="shared" si="0"/>
        <v>33.333333333333336</v>
      </c>
      <c r="F9" s="27">
        <f>E9/'Dados dos Tubos'!$G$4</f>
        <v>4.4165005096365553</v>
      </c>
      <c r="G9" s="27">
        <f t="shared" si="1"/>
        <v>43638.479999999996</v>
      </c>
      <c r="H9" s="27">
        <f>G9/(F9*'Dados dos Tubos'!$I$4)</f>
        <v>197.61564571218</v>
      </c>
      <c r="L9" s="12">
        <v>13.532830000000001</v>
      </c>
    </row>
    <row r="10" spans="2:12" ht="32.25" thickTop="1">
      <c r="C10" s="32" t="s">
        <v>34</v>
      </c>
      <c r="D10" s="33"/>
      <c r="E10" s="24" t="s">
        <v>30</v>
      </c>
      <c r="F10" s="25" t="s">
        <v>32</v>
      </c>
      <c r="L10" s="10" t="s">
        <v>33</v>
      </c>
    </row>
    <row r="11" spans="2:12" ht="31.5">
      <c r="B11" s="7" t="s">
        <v>39</v>
      </c>
      <c r="C11" s="8" t="s">
        <v>29</v>
      </c>
      <c r="D11" s="19">
        <f>SLOPE(H3:H9,F3:F9)</f>
        <v>32.267149389462041</v>
      </c>
      <c r="E11" s="13">
        <f>L6/D12</f>
        <v>1.9245123331633796E-4</v>
      </c>
      <c r="F11" s="14">
        <f>D11*E11/(L3*E11^0.5)</f>
        <v>0.44900127202447959</v>
      </c>
      <c r="L11" s="11">
        <v>0.38500000000000001</v>
      </c>
    </row>
    <row r="12" spans="2:12" ht="21">
      <c r="C12" s="12" t="s">
        <v>31</v>
      </c>
      <c r="D12" s="19">
        <f>INTERCEPT(H3:H9,F3:F9)</f>
        <v>46.76509391450054</v>
      </c>
      <c r="E12" s="9"/>
      <c r="F12" s="9"/>
    </row>
    <row r="13" spans="2:12" ht="6.75" customHeight="1" thickBot="1"/>
    <row r="14" spans="2:12" ht="22.5" customHeight="1" thickTop="1" thickBot="1">
      <c r="C14" s="16"/>
      <c r="D14" s="20" t="s">
        <v>30</v>
      </c>
      <c r="E14" s="21" t="s">
        <v>32</v>
      </c>
      <c r="F14" s="22" t="s">
        <v>40</v>
      </c>
    </row>
    <row r="15" spans="2:12" ht="27.75" thickTop="1" thickBot="1">
      <c r="C15" s="17" t="s">
        <v>36</v>
      </c>
      <c r="D15" s="18">
        <f>E11</f>
        <v>1.9245123331633796E-4</v>
      </c>
      <c r="E15" s="18">
        <f>F11</f>
        <v>0.44900127202447959</v>
      </c>
      <c r="F15" s="23">
        <v>0</v>
      </c>
    </row>
    <row r="16" spans="2:12" ht="27.75" thickTop="1" thickBot="1">
      <c r="C16" s="17" t="s">
        <v>35</v>
      </c>
      <c r="D16" s="18">
        <f>('Dados dos Tubos'!J4*1)^2*'TUBO 1'!L11^3/(200*(1-'TUBO 1'!L11)^2)</f>
        <v>1.4472720743604998E-4</v>
      </c>
      <c r="E16" s="18">
        <f>0.11/L11^1.5</f>
        <v>0.46047026515736017</v>
      </c>
      <c r="F16" s="23">
        <f>ABS($D$15-D16)/$D$15</f>
        <v>0.24797983914108018</v>
      </c>
    </row>
    <row r="17" spans="3:6" ht="27.75" thickTop="1" thickBot="1">
      <c r="C17" s="17" t="s">
        <v>37</v>
      </c>
      <c r="D17" s="18">
        <f>(L11^3*('Dados dos Tubos'!J4*1)^2/(180*(1-'TUBO 1'!L11)^2))</f>
        <v>1.6080800826227774E-4</v>
      </c>
      <c r="E17" s="18">
        <f>0.13/L11^1.5</f>
        <v>0.54419213154960744</v>
      </c>
      <c r="F17" s="23">
        <f t="shared" ref="F17:F18" si="2">ABS($D$15-D17)/$D$15</f>
        <v>0.16442204349008918</v>
      </c>
    </row>
    <row r="18" spans="3:6" ht="27.75" thickTop="1" thickBot="1">
      <c r="C18" s="17" t="s">
        <v>38</v>
      </c>
      <c r="D18" s="18">
        <f>L11^3*'Dados dos Tubos'!J4^2/(150*(1-L11)^2)</f>
        <v>1.9296960991473333E-4</v>
      </c>
      <c r="E18" s="18">
        <f>0.14/L11^1.5</f>
        <v>0.58605306474573116</v>
      </c>
      <c r="F18" s="23">
        <f t="shared" si="2"/>
        <v>2.6935478118931986E-3</v>
      </c>
    </row>
    <row r="19" spans="3:6" ht="27" thickTop="1">
      <c r="E19" s="15"/>
      <c r="F19" s="15"/>
    </row>
  </sheetData>
  <mergeCells count="1">
    <mergeCell ref="C10:D10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9"/>
  <sheetViews>
    <sheetView tabSelected="1" workbookViewId="0">
      <selection activeCell="L11" sqref="L11"/>
    </sheetView>
  </sheetViews>
  <sheetFormatPr defaultColWidth="13.7109375" defaultRowHeight="15"/>
  <cols>
    <col min="1" max="1" width="2.85546875" style="7" customWidth="1"/>
    <col min="2" max="2" width="13.7109375" style="7"/>
    <col min="3" max="3" width="25.7109375" style="7" customWidth="1"/>
    <col min="4" max="4" width="17.28515625" style="7" bestFit="1" customWidth="1"/>
    <col min="5" max="5" width="18.140625" style="7" bestFit="1" customWidth="1"/>
    <col min="6" max="6" width="21.7109375" style="7" bestFit="1" customWidth="1"/>
    <col min="7" max="8" width="13.7109375" style="7"/>
    <col min="9" max="9" width="19.42578125" style="7" customWidth="1"/>
    <col min="10" max="10" width="18" style="7" customWidth="1"/>
    <col min="11" max="11" width="4.5703125" style="7" customWidth="1"/>
    <col min="12" max="12" width="19.7109375" style="7" customWidth="1"/>
    <col min="13" max="16384" width="13.7109375" style="7"/>
  </cols>
  <sheetData>
    <row r="1" spans="2:12" ht="10.5" customHeight="1" thickBot="1"/>
    <row r="2" spans="2:12" ht="31.5" customHeight="1" thickTop="1" thickBot="1">
      <c r="B2" s="28" t="s">
        <v>0</v>
      </c>
      <c r="C2" s="26" t="s">
        <v>97</v>
      </c>
      <c r="D2" s="26" t="s">
        <v>98</v>
      </c>
      <c r="E2" s="26" t="s">
        <v>4</v>
      </c>
      <c r="F2" s="26" t="s">
        <v>5</v>
      </c>
      <c r="G2" s="26" t="s">
        <v>6</v>
      </c>
      <c r="H2" s="26" t="s">
        <v>7</v>
      </c>
      <c r="L2" s="6" t="s">
        <v>26</v>
      </c>
    </row>
    <row r="3" spans="2:12" ht="17.25" thickTop="1" thickBot="1">
      <c r="B3" s="26" t="s">
        <v>8</v>
      </c>
      <c r="C3" s="30">
        <v>1.85</v>
      </c>
      <c r="D3" s="29">
        <v>139</v>
      </c>
      <c r="E3" s="27">
        <f t="shared" ref="E3:E5" si="0">C3*1000/60</f>
        <v>30.833333333333332</v>
      </c>
      <c r="F3" s="27">
        <f>E3/'Dados dos Tubos'!$G$5</f>
        <v>6.7036707115782308</v>
      </c>
      <c r="G3" s="27">
        <f t="shared" ref="G3:G5" si="1">D3*980.64</f>
        <v>136308.96</v>
      </c>
      <c r="H3" s="27">
        <f>G3/(F3*'Dados dos Tubos'!$I$5)</f>
        <v>406.6696168848934</v>
      </c>
      <c r="L3" s="12">
        <v>0.99695</v>
      </c>
    </row>
    <row r="4" spans="2:12" ht="17.25" thickTop="1" thickBot="1">
      <c r="B4" s="26" t="s">
        <v>9</v>
      </c>
      <c r="C4" s="30">
        <v>1.6</v>
      </c>
      <c r="D4" s="29">
        <v>112</v>
      </c>
      <c r="E4" s="27">
        <f t="shared" si="0"/>
        <v>26.666666666666668</v>
      </c>
      <c r="F4" s="27">
        <f>E4/'Dados dos Tubos'!$G$5</f>
        <v>5.797769264067659</v>
      </c>
      <c r="G4" s="27">
        <f t="shared" si="1"/>
        <v>109831.67999999999</v>
      </c>
      <c r="H4" s="27">
        <f>G4/(F4*'Dados dos Tubos'!$I$5)</f>
        <v>378.87565026326399</v>
      </c>
      <c r="L4" s="12"/>
    </row>
    <row r="5" spans="2:12" ht="17.25" thickTop="1" thickBot="1">
      <c r="B5" s="26" t="s">
        <v>10</v>
      </c>
      <c r="C5" s="30">
        <v>1.4</v>
      </c>
      <c r="D5" s="29">
        <v>94.4</v>
      </c>
      <c r="E5" s="27">
        <f t="shared" si="0"/>
        <v>23.333333333333332</v>
      </c>
      <c r="F5" s="27">
        <f>E5/'Dados dos Tubos'!$G$5</f>
        <v>5.0730481060592014</v>
      </c>
      <c r="G5" s="27">
        <f t="shared" si="1"/>
        <v>92572.415999999997</v>
      </c>
      <c r="H5" s="27">
        <f>G5/(F5*'Dados dos Tubos'!$I$5)</f>
        <v>364.95776923318493</v>
      </c>
      <c r="L5" s="12" t="s">
        <v>27</v>
      </c>
    </row>
    <row r="6" spans="2:12" ht="15.75" customHeight="1" thickTop="1" thickBot="1">
      <c r="B6" s="26" t="s">
        <v>11</v>
      </c>
      <c r="C6" s="30">
        <v>1.2</v>
      </c>
      <c r="D6" s="29">
        <v>74</v>
      </c>
      <c r="E6" s="27">
        <f t="shared" ref="E6:E7" si="2">C6*1000/60</f>
        <v>20</v>
      </c>
      <c r="F6" s="27">
        <f>E6/'Dados dos Tubos'!$G$5</f>
        <v>4.3483269480507447</v>
      </c>
      <c r="G6" s="27">
        <f t="shared" ref="G6:G7" si="3">D6*980.64</f>
        <v>72567.360000000001</v>
      </c>
      <c r="H6" s="27">
        <f>G6/(F6*'Dados dos Tubos'!$I$5)</f>
        <v>333.771406184304</v>
      </c>
      <c r="L6" s="12">
        <v>8.9999999999999993E-3</v>
      </c>
    </row>
    <row r="7" spans="2:12" ht="17.25" thickTop="1" thickBot="1">
      <c r="B7" s="26" t="s">
        <v>12</v>
      </c>
      <c r="C7" s="30">
        <v>1</v>
      </c>
      <c r="D7" s="29">
        <v>60</v>
      </c>
      <c r="E7" s="27">
        <f t="shared" si="2"/>
        <v>16.666666666666668</v>
      </c>
      <c r="F7" s="27">
        <f>E7/'Dados dos Tubos'!$G$5</f>
        <v>3.6236057900422871</v>
      </c>
      <c r="G7" s="27">
        <f t="shared" ref="G7" si="4">D7*980.64</f>
        <v>58838.400000000001</v>
      </c>
      <c r="H7" s="27">
        <f>G7/(F7*'Dados dos Tubos'!$I$5)</f>
        <v>324.75055736851198</v>
      </c>
      <c r="L7" s="12"/>
    </row>
    <row r="8" spans="2:12" ht="17.25" thickTop="1" thickBot="1">
      <c r="B8" s="26" t="s">
        <v>95</v>
      </c>
      <c r="C8" s="30"/>
      <c r="D8" s="29"/>
      <c r="E8" s="27"/>
      <c r="F8" s="27"/>
      <c r="G8" s="27"/>
      <c r="H8" s="27"/>
      <c r="L8" s="12" t="s">
        <v>28</v>
      </c>
    </row>
    <row r="9" spans="2:12" ht="17.25" thickTop="1" thickBot="1">
      <c r="B9" s="26"/>
      <c r="C9" s="30"/>
      <c r="D9" s="29"/>
      <c r="E9" s="27"/>
      <c r="F9" s="27"/>
      <c r="G9" s="27"/>
      <c r="H9" s="27"/>
      <c r="L9" s="12">
        <v>13.532830000000001</v>
      </c>
    </row>
    <row r="10" spans="2:12" ht="33" thickTop="1" thickBot="1">
      <c r="C10" s="32" t="s">
        <v>34</v>
      </c>
      <c r="D10" s="33"/>
      <c r="E10" s="24" t="s">
        <v>30</v>
      </c>
      <c r="F10" s="25" t="s">
        <v>32</v>
      </c>
      <c r="L10" s="10" t="s">
        <v>33</v>
      </c>
    </row>
    <row r="11" spans="2:12" ht="33" thickTop="1" thickBot="1">
      <c r="B11" s="7" t="s">
        <v>39</v>
      </c>
      <c r="C11" s="8" t="s">
        <v>29</v>
      </c>
      <c r="D11" s="19">
        <f>SLOPE(H3:H8,F3:F8)</f>
        <v>27.491742862161601</v>
      </c>
      <c r="E11" s="13">
        <f>L6/D12</f>
        <v>4.066108168326752E-5</v>
      </c>
      <c r="F11" s="31">
        <f>D11*E11/(L3*E11^0.5)</f>
        <v>0.17584027705195499</v>
      </c>
      <c r="L11" s="11">
        <v>0.36</v>
      </c>
    </row>
    <row r="12" spans="2:12" ht="21.75" thickTop="1">
      <c r="C12" s="12" t="s">
        <v>31</v>
      </c>
      <c r="D12" s="19">
        <f>INTERCEPT(H3:H8,F3:F8)</f>
        <v>221.34187354153929</v>
      </c>
      <c r="E12" s="9"/>
      <c r="F12" s="9"/>
    </row>
    <row r="13" spans="2:12" ht="6.75" customHeight="1" thickBot="1"/>
    <row r="14" spans="2:12" ht="22.5" customHeight="1" thickTop="1" thickBot="1">
      <c r="C14" s="16"/>
      <c r="D14" s="20" t="s">
        <v>30</v>
      </c>
      <c r="E14" s="21" t="s">
        <v>32</v>
      </c>
      <c r="F14" s="22" t="s">
        <v>40</v>
      </c>
    </row>
    <row r="15" spans="2:12" ht="27.75" thickTop="1" thickBot="1">
      <c r="C15" s="17" t="s">
        <v>36</v>
      </c>
      <c r="D15" s="18">
        <f>E11</f>
        <v>4.066108168326752E-5</v>
      </c>
      <c r="E15" s="18">
        <f>F11</f>
        <v>0.17584027705195499</v>
      </c>
      <c r="F15" s="23">
        <v>0</v>
      </c>
    </row>
    <row r="16" spans="2:12" ht="27.75" thickTop="1" thickBot="1">
      <c r="C16" s="17" t="s">
        <v>35</v>
      </c>
      <c r="D16" s="18">
        <f>('Dados dos Tubos'!J5*1)^2*'TUBO 2'!L11^3/(200*(1-'TUBO 2'!L11)^2)</f>
        <v>3.9094903125000005E-5</v>
      </c>
      <c r="E16" s="18">
        <f>0.11/L11^1.5</f>
        <v>0.5092592592592593</v>
      </c>
      <c r="F16" s="23">
        <f>ABS($D$15-D16)/$D$15</f>
        <v>3.8517877376390959E-2</v>
      </c>
    </row>
    <row r="17" spans="3:6" ht="27.75" thickTop="1" thickBot="1">
      <c r="C17" s="17" t="s">
        <v>37</v>
      </c>
      <c r="D17" s="18">
        <f>(L11^3*('Dados dos Tubos'!J5*1)^2/(180*(1-'TUBO 2'!L11)^2))</f>
        <v>4.3438781250000002E-5</v>
      </c>
      <c r="E17" s="18">
        <f>0.13/L11^1.5</f>
        <v>0.60185185185185197</v>
      </c>
      <c r="F17" s="23">
        <f t="shared" ref="F17:F18" si="5">ABS($D$15-D17)/$D$15</f>
        <v>6.8313469581787731E-2</v>
      </c>
    </row>
    <row r="18" spans="3:6" ht="27.75" thickTop="1" thickBot="1">
      <c r="C18" s="17" t="s">
        <v>38</v>
      </c>
      <c r="D18" s="18">
        <f>L11^3*'Dados dos Tubos'!J5^2/(150*(1-L11)^2)</f>
        <v>5.2126537500000002E-5</v>
      </c>
      <c r="E18" s="18">
        <f>0.14/L11^1.5</f>
        <v>0.64814814814814825</v>
      </c>
      <c r="F18" s="23">
        <f t="shared" si="5"/>
        <v>0.28197616349814525</v>
      </c>
    </row>
    <row r="19" spans="3:6" ht="22.5" customHeight="1" thickTop="1">
      <c r="E19" s="15"/>
      <c r="F19" s="15"/>
    </row>
  </sheetData>
  <mergeCells count="1">
    <mergeCell ref="C10:D10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L19"/>
  <sheetViews>
    <sheetView topLeftCell="A3" workbookViewId="0">
      <selection activeCell="L11" sqref="L11"/>
    </sheetView>
  </sheetViews>
  <sheetFormatPr defaultColWidth="13.7109375" defaultRowHeight="15"/>
  <cols>
    <col min="1" max="1" width="2.85546875" style="7" customWidth="1"/>
    <col min="2" max="2" width="13.7109375" style="7"/>
    <col min="3" max="3" width="25.7109375" style="7" customWidth="1"/>
    <col min="4" max="4" width="17.28515625" style="7" bestFit="1" customWidth="1"/>
    <col min="5" max="5" width="18.140625" style="7" bestFit="1" customWidth="1"/>
    <col min="6" max="6" width="19" style="7" bestFit="1" customWidth="1"/>
    <col min="7" max="8" width="13.7109375" style="7"/>
    <col min="9" max="9" width="19.42578125" style="7" customWidth="1"/>
    <col min="10" max="10" width="18" style="7" customWidth="1"/>
    <col min="11" max="11" width="4.5703125" style="7" customWidth="1"/>
    <col min="12" max="12" width="19.7109375" style="7" customWidth="1"/>
    <col min="13" max="16384" width="13.7109375" style="7"/>
  </cols>
  <sheetData>
    <row r="1" spans="2:12" ht="10.5" customHeight="1" thickBot="1"/>
    <row r="2" spans="2:12" ht="31.5" customHeight="1" thickTop="1" thickBot="1">
      <c r="B2" s="28" t="s">
        <v>0</v>
      </c>
      <c r="C2" s="26" t="s">
        <v>97</v>
      </c>
      <c r="D2" s="26" t="s">
        <v>98</v>
      </c>
      <c r="E2" s="26" t="s">
        <v>4</v>
      </c>
      <c r="F2" s="26" t="s">
        <v>5</v>
      </c>
      <c r="G2" s="26" t="s">
        <v>6</v>
      </c>
      <c r="H2" s="26" t="s">
        <v>7</v>
      </c>
      <c r="L2" s="6" t="s">
        <v>26</v>
      </c>
    </row>
    <row r="3" spans="2:12" ht="17.25" thickTop="1" thickBot="1">
      <c r="B3" s="26" t="s">
        <v>8</v>
      </c>
      <c r="C3" s="30">
        <v>2.4</v>
      </c>
      <c r="D3" s="29">
        <v>340.8</v>
      </c>
      <c r="E3" s="27">
        <f t="shared" ref="E3:E5" si="0">C3*1000/60</f>
        <v>40</v>
      </c>
      <c r="F3" s="27">
        <f>E3/'Dados dos Tubos'!$G$6</f>
        <v>10.060461012766174</v>
      </c>
      <c r="G3" s="27">
        <f t="shared" ref="G3:G5" si="1">D3*980.64</f>
        <v>334202.11200000002</v>
      </c>
      <c r="H3" s="27">
        <f>G3/(F3*'Dados dos Tubos'!$I$6)</f>
        <v>664.38727127100015</v>
      </c>
      <c r="L3" s="12">
        <v>0.99695</v>
      </c>
    </row>
    <row r="4" spans="2:12" ht="17.25" thickTop="1" thickBot="1">
      <c r="B4" s="26" t="s">
        <v>9</v>
      </c>
      <c r="C4" s="30">
        <v>2.2000000000000002</v>
      </c>
      <c r="D4" s="29">
        <v>289</v>
      </c>
      <c r="E4" s="27">
        <f t="shared" si="0"/>
        <v>36.666666666666664</v>
      </c>
      <c r="F4" s="27">
        <f>E4/'Dados dos Tubos'!$G$6</f>
        <v>9.222089261702326</v>
      </c>
      <c r="G4" s="27">
        <f t="shared" si="1"/>
        <v>283404.96000000002</v>
      </c>
      <c r="H4" s="27">
        <f>G4/(F4*'Dados dos Tubos'!$I$6)</f>
        <v>614.62202752022733</v>
      </c>
      <c r="L4" s="12"/>
    </row>
    <row r="5" spans="2:12" ht="17.25" thickTop="1" thickBot="1">
      <c r="B5" s="26" t="s">
        <v>10</v>
      </c>
      <c r="C5" s="30">
        <v>2</v>
      </c>
      <c r="D5" s="29">
        <v>250</v>
      </c>
      <c r="E5" s="27">
        <f t="shared" si="0"/>
        <v>33.333333333333336</v>
      </c>
      <c r="F5" s="27">
        <f>E5/'Dados dos Tubos'!$G$6</f>
        <v>8.383717510638478</v>
      </c>
      <c r="G5" s="27">
        <f t="shared" si="1"/>
        <v>245160</v>
      </c>
      <c r="H5" s="27">
        <f>G5/(F5*'Dados dos Tubos'!$I$6)</f>
        <v>584.8479500625001</v>
      </c>
      <c r="L5" s="12" t="s">
        <v>27</v>
      </c>
    </row>
    <row r="6" spans="2:12" ht="15.75" customHeight="1" thickTop="1" thickBot="1">
      <c r="B6" s="26" t="s">
        <v>11</v>
      </c>
      <c r="C6" s="30"/>
      <c r="D6" s="29"/>
      <c r="E6" s="27"/>
      <c r="F6" s="27"/>
      <c r="G6" s="27"/>
      <c r="H6" s="27"/>
      <c r="L6" s="12">
        <v>8.9999999999999993E-3</v>
      </c>
    </row>
    <row r="7" spans="2:12" ht="17.25" thickTop="1" thickBot="1">
      <c r="B7" s="26" t="s">
        <v>12</v>
      </c>
      <c r="C7" s="30"/>
      <c r="D7" s="29"/>
      <c r="E7" s="27"/>
      <c r="F7" s="27"/>
      <c r="G7" s="27"/>
      <c r="H7" s="27"/>
      <c r="L7" s="12"/>
    </row>
    <row r="8" spans="2:12" ht="17.25" thickTop="1" thickBot="1">
      <c r="B8" s="26" t="s">
        <v>95</v>
      </c>
      <c r="C8" s="30"/>
      <c r="D8" s="29"/>
      <c r="E8" s="27"/>
      <c r="F8" s="27"/>
      <c r="G8" s="27"/>
      <c r="H8" s="27"/>
      <c r="L8" s="12" t="s">
        <v>28</v>
      </c>
    </row>
    <row r="9" spans="2:12" ht="17.25" thickTop="1" thickBot="1">
      <c r="B9" s="26"/>
      <c r="C9" s="30"/>
      <c r="D9" s="29"/>
      <c r="E9" s="27"/>
      <c r="F9" s="27"/>
      <c r="G9" s="27"/>
      <c r="H9" s="27"/>
      <c r="L9" s="12">
        <v>13.532830000000001</v>
      </c>
    </row>
    <row r="10" spans="2:12" ht="33" thickTop="1" thickBot="1">
      <c r="C10" s="32" t="s">
        <v>34</v>
      </c>
      <c r="D10" s="33"/>
      <c r="E10" s="24" t="s">
        <v>30</v>
      </c>
      <c r="F10" s="25" t="s">
        <v>32</v>
      </c>
      <c r="L10" s="10" t="s">
        <v>33</v>
      </c>
    </row>
    <row r="11" spans="2:12" ht="33" thickTop="1" thickBot="1">
      <c r="B11" s="7" t="s">
        <v>39</v>
      </c>
      <c r="C11" s="8" t="s">
        <v>29</v>
      </c>
      <c r="D11" s="19">
        <f>SLOPE(H3:H8,F3:F8)</f>
        <v>47.436785118039218</v>
      </c>
      <c r="E11" s="13">
        <f>L6/D12</f>
        <v>4.8961077762426741E-5</v>
      </c>
      <c r="F11" s="31">
        <f>D11*E11/(L3*E11^0.5)</f>
        <v>0.3329410580090324</v>
      </c>
      <c r="L11" s="11">
        <f>1-(4*('Dados dos Tubos'!$E$6)/(2.5*3.1415*'Dados dos Tubos'!$F$6^2*'Dados dos Tubos'!$H$6))</f>
        <v>0.3785462677857474</v>
      </c>
    </row>
    <row r="12" spans="2:12" ht="21.75" thickTop="1">
      <c r="C12" s="12" t="s">
        <v>31</v>
      </c>
      <c r="D12" s="19">
        <f>INTERCEPT(H3:H8,F3:F8)</f>
        <v>183.81948297115912</v>
      </c>
      <c r="E12" s="9"/>
      <c r="F12" s="9"/>
    </row>
    <row r="13" spans="2:12" ht="6.75" customHeight="1" thickBot="1"/>
    <row r="14" spans="2:12" ht="22.5" customHeight="1" thickTop="1" thickBot="1">
      <c r="C14" s="16"/>
      <c r="D14" s="20" t="s">
        <v>30</v>
      </c>
      <c r="E14" s="21" t="s">
        <v>32</v>
      </c>
      <c r="F14" s="22" t="s">
        <v>40</v>
      </c>
    </row>
    <row r="15" spans="2:12" ht="27.75" thickTop="1" thickBot="1">
      <c r="C15" s="17" t="s">
        <v>36</v>
      </c>
      <c r="D15" s="18">
        <f>E11</f>
        <v>4.8961077762426741E-5</v>
      </c>
      <c r="E15" s="18">
        <f>F11</f>
        <v>0.3329410580090324</v>
      </c>
      <c r="F15" s="23">
        <v>0</v>
      </c>
    </row>
    <row r="16" spans="2:12" ht="27.75" thickTop="1" thickBot="1">
      <c r="C16" s="17" t="s">
        <v>35</v>
      </c>
      <c r="D16" s="18">
        <f>('Dados dos Tubos'!J6*1)^2*'TUBO 3'!L11^3/(200*(1-'TUBO 3'!L11)^2)</f>
        <v>4.3892399822801121E-5</v>
      </c>
      <c r="E16" s="18">
        <f>0.11/L11^1.5</f>
        <v>0.472295961601154</v>
      </c>
      <c r="F16" s="23">
        <f>ABS($D$15-D16)/$D$15</f>
        <v>0.10352463980103352</v>
      </c>
    </row>
    <row r="17" spans="3:6" ht="27.75" thickTop="1" thickBot="1">
      <c r="C17" s="17" t="s">
        <v>37</v>
      </c>
      <c r="D17" s="18">
        <f>(L11^3*('Dados dos Tubos'!J6*1)^2/(180*(1-'TUBO 3'!L11)^2))</f>
        <v>4.8769333136445696E-5</v>
      </c>
      <c r="E17" s="18">
        <f>0.13/L11^1.5</f>
        <v>0.5581679546195456</v>
      </c>
      <c r="F17" s="23">
        <f t="shared" ref="F17:F18" si="2">ABS($D$15-D17)/$D$15</f>
        <v>3.9162664455926685E-3</v>
      </c>
    </row>
    <row r="18" spans="3:6" ht="27.75" thickTop="1" thickBot="1">
      <c r="C18" s="17" t="s">
        <v>38</v>
      </c>
      <c r="D18" s="18">
        <f>L11^3*'Dados dos Tubos'!J6^2/(150*(1-L11)^2)</f>
        <v>5.8523199763734832E-5</v>
      </c>
      <c r="E18" s="18">
        <f>0.14/L11^1.5</f>
        <v>0.60110395112874149</v>
      </c>
      <c r="F18" s="23">
        <f t="shared" si="2"/>
        <v>0.19530048026528873</v>
      </c>
    </row>
    <row r="19" spans="3:6" ht="22.5" customHeight="1" thickTop="1">
      <c r="E19" s="15"/>
      <c r="F19" s="15"/>
    </row>
  </sheetData>
  <mergeCells count="1">
    <mergeCell ref="C10:D10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L19"/>
  <sheetViews>
    <sheetView topLeftCell="A6" workbookViewId="0">
      <selection activeCell="C3" sqref="C3:D5"/>
    </sheetView>
  </sheetViews>
  <sheetFormatPr defaultColWidth="13.7109375" defaultRowHeight="15"/>
  <cols>
    <col min="1" max="1" width="2.85546875" style="7" customWidth="1"/>
    <col min="2" max="2" width="13.7109375" style="7"/>
    <col min="3" max="3" width="25.7109375" style="7" customWidth="1"/>
    <col min="4" max="4" width="17.28515625" style="7" bestFit="1" customWidth="1"/>
    <col min="5" max="5" width="18.140625" style="7" bestFit="1" customWidth="1"/>
    <col min="6" max="6" width="19" style="7" bestFit="1" customWidth="1"/>
    <col min="7" max="8" width="13.7109375" style="7"/>
    <col min="9" max="9" width="19.42578125" style="7" customWidth="1"/>
    <col min="10" max="10" width="18" style="7" customWidth="1"/>
    <col min="11" max="11" width="4.5703125" style="7" customWidth="1"/>
    <col min="12" max="12" width="19.7109375" style="7" customWidth="1"/>
    <col min="13" max="16384" width="13.7109375" style="7"/>
  </cols>
  <sheetData>
    <row r="1" spans="2:12" ht="10.5" customHeight="1" thickBot="1"/>
    <row r="2" spans="2:12" ht="31.5" customHeight="1" thickTop="1" thickBot="1">
      <c r="B2" s="28" t="s">
        <v>0</v>
      </c>
      <c r="C2" s="26" t="s">
        <v>97</v>
      </c>
      <c r="D2" s="26" t="s">
        <v>98</v>
      </c>
      <c r="E2" s="26" t="s">
        <v>4</v>
      </c>
      <c r="F2" s="26" t="s">
        <v>5</v>
      </c>
      <c r="G2" s="26" t="s">
        <v>6</v>
      </c>
      <c r="H2" s="26" t="s">
        <v>7</v>
      </c>
      <c r="L2" s="6" t="s">
        <v>26</v>
      </c>
    </row>
    <row r="3" spans="2:12" ht="17.25" thickTop="1" thickBot="1">
      <c r="B3" s="26" t="s">
        <v>8</v>
      </c>
      <c r="C3" s="30"/>
      <c r="D3" s="29"/>
      <c r="E3" s="27">
        <f t="shared" ref="E3:E5" si="0">C3*1000/60</f>
        <v>0</v>
      </c>
      <c r="F3" s="27">
        <f>E3/'Dados dos Tubos'!$G$7</f>
        <v>0</v>
      </c>
      <c r="G3" s="27">
        <f t="shared" ref="G3:G5" si="1">D3*980.64</f>
        <v>0</v>
      </c>
      <c r="H3" s="27" t="e">
        <f>G3/(F3*'Dados dos Tubos'!$I$7)</f>
        <v>#DIV/0!</v>
      </c>
      <c r="L3" s="12">
        <v>0.99695</v>
      </c>
    </row>
    <row r="4" spans="2:12" ht="17.25" thickTop="1" thickBot="1">
      <c r="B4" s="26" t="s">
        <v>9</v>
      </c>
      <c r="C4" s="30"/>
      <c r="D4" s="29"/>
      <c r="E4" s="27">
        <f t="shared" si="0"/>
        <v>0</v>
      </c>
      <c r="F4" s="27">
        <f>E4/'Dados dos Tubos'!$G$7</f>
        <v>0</v>
      </c>
      <c r="G4" s="27">
        <f t="shared" si="1"/>
        <v>0</v>
      </c>
      <c r="H4" s="27" t="e">
        <f>G4/(F4*'Dados dos Tubos'!$I$7)</f>
        <v>#DIV/0!</v>
      </c>
      <c r="L4" s="12"/>
    </row>
    <row r="5" spans="2:12" ht="17.25" thickTop="1" thickBot="1">
      <c r="B5" s="26" t="s">
        <v>10</v>
      </c>
      <c r="C5" s="30"/>
      <c r="D5" s="29"/>
      <c r="E5" s="27">
        <f t="shared" si="0"/>
        <v>0</v>
      </c>
      <c r="F5" s="27">
        <f>E5/'Dados dos Tubos'!$G$7</f>
        <v>0</v>
      </c>
      <c r="G5" s="27">
        <f t="shared" si="1"/>
        <v>0</v>
      </c>
      <c r="H5" s="27" t="e">
        <f>G5/(F5*'Dados dos Tubos'!$I$7)</f>
        <v>#DIV/0!</v>
      </c>
      <c r="L5" s="12" t="s">
        <v>27</v>
      </c>
    </row>
    <row r="6" spans="2:12" ht="15.75" customHeight="1" thickTop="1" thickBot="1">
      <c r="B6" s="26" t="s">
        <v>11</v>
      </c>
      <c r="C6" s="30"/>
      <c r="D6" s="29"/>
      <c r="E6" s="27"/>
      <c r="F6" s="27"/>
      <c r="G6" s="27"/>
      <c r="H6" s="27"/>
      <c r="L6" s="12">
        <v>8.9999999999999993E-3</v>
      </c>
    </row>
    <row r="7" spans="2:12" ht="17.25" thickTop="1" thickBot="1">
      <c r="B7" s="26" t="s">
        <v>12</v>
      </c>
      <c r="C7" s="30"/>
      <c r="D7" s="29"/>
      <c r="E7" s="27"/>
      <c r="F7" s="27"/>
      <c r="G7" s="27"/>
      <c r="H7" s="27"/>
      <c r="L7" s="12"/>
    </row>
    <row r="8" spans="2:12" ht="17.25" thickTop="1" thickBot="1">
      <c r="B8" s="26" t="s">
        <v>95</v>
      </c>
      <c r="C8" s="30"/>
      <c r="D8" s="29"/>
      <c r="E8" s="27"/>
      <c r="F8" s="27"/>
      <c r="G8" s="27"/>
      <c r="H8" s="27"/>
      <c r="L8" s="12" t="s">
        <v>28</v>
      </c>
    </row>
    <row r="9" spans="2:12" ht="17.25" thickTop="1" thickBot="1">
      <c r="B9" s="26"/>
      <c r="C9" s="30"/>
      <c r="D9" s="29"/>
      <c r="E9" s="27"/>
      <c r="F9" s="27"/>
      <c r="G9" s="27"/>
      <c r="H9" s="27"/>
      <c r="L9" s="12">
        <v>13.532830000000001</v>
      </c>
    </row>
    <row r="10" spans="2:12" ht="33" thickTop="1" thickBot="1">
      <c r="C10" s="32" t="s">
        <v>34</v>
      </c>
      <c r="D10" s="33"/>
      <c r="E10" s="24" t="s">
        <v>30</v>
      </c>
      <c r="F10" s="25" t="s">
        <v>32</v>
      </c>
      <c r="L10" s="10" t="s">
        <v>33</v>
      </c>
    </row>
    <row r="11" spans="2:12" ht="33" thickTop="1" thickBot="1">
      <c r="B11" s="7" t="s">
        <v>39</v>
      </c>
      <c r="C11" s="8" t="s">
        <v>29</v>
      </c>
      <c r="D11" s="19" t="e">
        <f>SLOPE(H3:H8,F3:F8)</f>
        <v>#DIV/0!</v>
      </c>
      <c r="E11" s="13" t="e">
        <f>L6/D12</f>
        <v>#DIV/0!</v>
      </c>
      <c r="F11" s="31" t="e">
        <f>D11*E11/(L3*E11^0.5)</f>
        <v>#DIV/0!</v>
      </c>
      <c r="L11" s="11">
        <v>0.38500000000000001</v>
      </c>
    </row>
    <row r="12" spans="2:12" ht="21.75" thickTop="1">
      <c r="C12" s="12" t="s">
        <v>31</v>
      </c>
      <c r="D12" s="19" t="e">
        <f>INTERCEPT(H3:H8,F3:F8)</f>
        <v>#DIV/0!</v>
      </c>
      <c r="E12" s="9"/>
      <c r="F12" s="9"/>
    </row>
    <row r="13" spans="2:12" ht="6.75" customHeight="1" thickBot="1"/>
    <row r="14" spans="2:12" ht="22.5" customHeight="1" thickTop="1" thickBot="1">
      <c r="C14" s="16"/>
      <c r="D14" s="20" t="s">
        <v>30</v>
      </c>
      <c r="E14" s="21" t="s">
        <v>32</v>
      </c>
      <c r="F14" s="22" t="s">
        <v>40</v>
      </c>
    </row>
    <row r="15" spans="2:12" ht="27.75" thickTop="1" thickBot="1">
      <c r="C15" s="17" t="s">
        <v>36</v>
      </c>
      <c r="D15" s="18" t="e">
        <f>E11</f>
        <v>#DIV/0!</v>
      </c>
      <c r="E15" s="18" t="e">
        <f>F11</f>
        <v>#DIV/0!</v>
      </c>
      <c r="F15" s="23">
        <v>0</v>
      </c>
    </row>
    <row r="16" spans="2:12" ht="27.75" thickTop="1" thickBot="1">
      <c r="C16" s="17" t="s">
        <v>35</v>
      </c>
      <c r="D16" s="18">
        <f>('Dados dos Tubos'!J6*1)^2*'TUBO 4'!L11^3/(200*(1-'TUBO 4'!L11)^2)</f>
        <v>4.715003057042766E-5</v>
      </c>
      <c r="E16" s="18">
        <f>0.11/L11^1.5</f>
        <v>0.46047026515736017</v>
      </c>
      <c r="F16" s="23" t="e">
        <f>ABS($D$15-D16)/$D$15</f>
        <v>#DIV/0!</v>
      </c>
    </row>
    <row r="17" spans="3:6" ht="27.75" thickTop="1" thickBot="1">
      <c r="C17" s="17" t="s">
        <v>37</v>
      </c>
      <c r="D17" s="18">
        <f>(L11^3*('Dados dos Tubos'!J6*1)^2/(180*(1-'TUBO 4'!L11)^2))</f>
        <v>5.238892285603073E-5</v>
      </c>
      <c r="E17" s="18">
        <f>0.13/L11^1.5</f>
        <v>0.54419213154960744</v>
      </c>
      <c r="F17" s="23" t="e">
        <f t="shared" ref="F17:F18" si="2">ABS($D$15-D17)/$D$15</f>
        <v>#DIV/0!</v>
      </c>
    </row>
    <row r="18" spans="3:6" ht="27.75" thickTop="1" thickBot="1">
      <c r="C18" s="17" t="s">
        <v>38</v>
      </c>
      <c r="D18" s="18">
        <f>L11^3*'Dados dos Tubos'!J6^2/(150*(1-L11)^2)</f>
        <v>6.2866707427236884E-5</v>
      </c>
      <c r="E18" s="18">
        <f>0.14/L11^1.5</f>
        <v>0.58605306474573116</v>
      </c>
      <c r="F18" s="23" t="e">
        <f t="shared" si="2"/>
        <v>#DIV/0!</v>
      </c>
    </row>
    <row r="19" spans="3:6" ht="22.5" customHeight="1" thickTop="1">
      <c r="E19" s="15"/>
      <c r="F19" s="15"/>
    </row>
  </sheetData>
  <mergeCells count="1">
    <mergeCell ref="C10:D10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D3:J18"/>
  <sheetViews>
    <sheetView workbookViewId="0">
      <selection activeCell="I8" sqref="I8"/>
    </sheetView>
  </sheetViews>
  <sheetFormatPr defaultRowHeight="15"/>
  <cols>
    <col min="5" max="5" width="15.28515625" customWidth="1"/>
    <col min="7" max="7" width="12.85546875" customWidth="1"/>
  </cols>
  <sheetData>
    <row r="3" spans="4:10">
      <c r="D3" s="3" t="s">
        <v>15</v>
      </c>
      <c r="E3" s="3" t="s">
        <v>16</v>
      </c>
      <c r="F3" s="3" t="s">
        <v>17</v>
      </c>
      <c r="G3" s="3" t="s">
        <v>25</v>
      </c>
      <c r="H3" s="3" t="s">
        <v>18</v>
      </c>
      <c r="I3" s="3" t="s">
        <v>19</v>
      </c>
      <c r="J3" s="3" t="s">
        <v>20</v>
      </c>
    </row>
    <row r="4" spans="4:10">
      <c r="D4" s="4">
        <v>1</v>
      </c>
      <c r="E4" s="5" t="s">
        <v>21</v>
      </c>
      <c r="F4" s="5" t="s">
        <v>22</v>
      </c>
      <c r="G4" s="5">
        <f>3.1415*F4*F4/4</f>
        <v>7.5474537500000016</v>
      </c>
      <c r="H4" s="5">
        <v>137</v>
      </c>
      <c r="I4" s="5">
        <v>50</v>
      </c>
      <c r="J4" s="5">
        <v>0.438</v>
      </c>
    </row>
    <row r="5" spans="4:10">
      <c r="D5" s="4">
        <v>2</v>
      </c>
      <c r="E5" s="5">
        <v>421.6</v>
      </c>
      <c r="F5" s="5">
        <v>2.42</v>
      </c>
      <c r="G5" s="5">
        <f>3.1415*F5*F5/4</f>
        <v>4.5994701500000001</v>
      </c>
      <c r="H5" s="5">
        <v>147.30000000000001</v>
      </c>
      <c r="I5" s="5">
        <v>50</v>
      </c>
      <c r="J5" s="5">
        <v>0.26200000000000001</v>
      </c>
    </row>
    <row r="6" spans="4:10">
      <c r="D6" s="4">
        <v>3</v>
      </c>
      <c r="E6" s="5" t="s">
        <v>23</v>
      </c>
      <c r="F6" s="5">
        <v>2.25</v>
      </c>
      <c r="G6" s="5">
        <f t="shared" ref="G6:G7" si="0">3.1415*F6*F6/4</f>
        <v>3.9759609375000005</v>
      </c>
      <c r="H6" s="5">
        <v>147.30000000000001</v>
      </c>
      <c r="I6" s="5">
        <v>50</v>
      </c>
      <c r="J6" s="5">
        <v>0.25</v>
      </c>
    </row>
    <row r="7" spans="4:10">
      <c r="D7" s="4">
        <v>4</v>
      </c>
      <c r="E7" s="5">
        <v>787.39</v>
      </c>
      <c r="F7" s="5" t="s">
        <v>24</v>
      </c>
      <c r="G7" s="5">
        <f t="shared" si="0"/>
        <v>2.558771384375</v>
      </c>
      <c r="H7" s="5">
        <v>149</v>
      </c>
      <c r="I7" s="5">
        <v>50</v>
      </c>
      <c r="J7" s="5">
        <v>0.184</v>
      </c>
    </row>
    <row r="17" spans="6:6">
      <c r="F17">
        <v>102.5</v>
      </c>
    </row>
    <row r="18" spans="6:6">
      <c r="F18">
        <f>F17/13.6</f>
        <v>7.5367647058823533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G9:O16"/>
  <sheetViews>
    <sheetView topLeftCell="A4" workbookViewId="0">
      <selection activeCell="H10" sqref="H10:J16"/>
    </sheetView>
  </sheetViews>
  <sheetFormatPr defaultRowHeight="15"/>
  <sheetData>
    <row r="9" spans="7:15" ht="47.25">
      <c r="G9" s="1" t="s">
        <v>41</v>
      </c>
      <c r="H9" s="1" t="s">
        <v>42</v>
      </c>
      <c r="I9" s="1" t="s">
        <v>1</v>
      </c>
      <c r="J9" s="1" t="s">
        <v>2</v>
      </c>
      <c r="K9" s="1" t="s">
        <v>3</v>
      </c>
      <c r="L9" s="1" t="s">
        <v>43</v>
      </c>
      <c r="M9" s="1" t="s">
        <v>5</v>
      </c>
      <c r="N9" s="1" t="s">
        <v>44</v>
      </c>
      <c r="O9" s="1" t="s">
        <v>45</v>
      </c>
    </row>
    <row r="10" spans="7:15" ht="31.5">
      <c r="G10" s="2" t="s">
        <v>8</v>
      </c>
      <c r="H10" s="2">
        <v>40</v>
      </c>
      <c r="I10" s="2" t="s">
        <v>46</v>
      </c>
      <c r="J10" s="2" t="s">
        <v>47</v>
      </c>
      <c r="K10" s="2" t="s">
        <v>48</v>
      </c>
      <c r="L10" s="2" t="s">
        <v>49</v>
      </c>
      <c r="M10" s="2" t="s">
        <v>50</v>
      </c>
      <c r="N10" s="2" t="s">
        <v>51</v>
      </c>
      <c r="O10" s="2" t="s">
        <v>52</v>
      </c>
    </row>
    <row r="11" spans="7:15" ht="31.5">
      <c r="G11" s="2" t="s">
        <v>9</v>
      </c>
      <c r="H11" s="2">
        <v>40</v>
      </c>
      <c r="I11" s="2" t="s">
        <v>53</v>
      </c>
      <c r="J11" s="2" t="s">
        <v>54</v>
      </c>
      <c r="K11" s="2" t="s">
        <v>55</v>
      </c>
      <c r="L11" s="2" t="s">
        <v>56</v>
      </c>
      <c r="M11" s="2" t="s">
        <v>57</v>
      </c>
      <c r="N11" s="2" t="s">
        <v>58</v>
      </c>
      <c r="O11" s="2" t="s">
        <v>59</v>
      </c>
    </row>
    <row r="12" spans="7:15" ht="31.5">
      <c r="G12" s="2" t="s">
        <v>10</v>
      </c>
      <c r="H12" s="2">
        <v>40</v>
      </c>
      <c r="I12" s="2" t="s">
        <v>60</v>
      </c>
      <c r="J12" s="2" t="s">
        <v>61</v>
      </c>
      <c r="K12" s="2" t="s">
        <v>62</v>
      </c>
      <c r="L12" s="2" t="s">
        <v>63</v>
      </c>
      <c r="M12" s="2" t="s">
        <v>64</v>
      </c>
      <c r="N12" s="2" t="s">
        <v>65</v>
      </c>
      <c r="O12" s="2" t="s">
        <v>66</v>
      </c>
    </row>
    <row r="13" spans="7:15" ht="31.5">
      <c r="G13" s="2" t="s">
        <v>11</v>
      </c>
      <c r="H13" s="2">
        <v>40</v>
      </c>
      <c r="I13" s="2" t="s">
        <v>67</v>
      </c>
      <c r="J13" s="2" t="s">
        <v>68</v>
      </c>
      <c r="K13" s="2" t="s">
        <v>69</v>
      </c>
      <c r="L13" s="2" t="s">
        <v>70</v>
      </c>
      <c r="M13" s="2" t="s">
        <v>71</v>
      </c>
      <c r="N13" s="2" t="s">
        <v>72</v>
      </c>
      <c r="O13" s="2" t="s">
        <v>73</v>
      </c>
    </row>
    <row r="14" spans="7:15" ht="31.5">
      <c r="G14" s="2" t="s">
        <v>12</v>
      </c>
      <c r="H14" s="2">
        <v>40</v>
      </c>
      <c r="I14" s="2" t="s">
        <v>74</v>
      </c>
      <c r="J14" s="2" t="s">
        <v>75</v>
      </c>
      <c r="K14" s="2" t="s">
        <v>76</v>
      </c>
      <c r="L14" s="2" t="s">
        <v>77</v>
      </c>
      <c r="M14" s="2" t="s">
        <v>78</v>
      </c>
      <c r="N14" s="2" t="s">
        <v>79</v>
      </c>
      <c r="O14" s="2" t="s">
        <v>80</v>
      </c>
    </row>
    <row r="15" spans="7:15" ht="31.5">
      <c r="G15" s="2" t="s">
        <v>13</v>
      </c>
      <c r="H15" s="2">
        <v>40</v>
      </c>
      <c r="I15" s="2" t="s">
        <v>81</v>
      </c>
      <c r="J15" s="2" t="s">
        <v>82</v>
      </c>
      <c r="K15" s="2" t="s">
        <v>83</v>
      </c>
      <c r="L15" s="2" t="s">
        <v>84</v>
      </c>
      <c r="M15" s="2" t="s">
        <v>85</v>
      </c>
      <c r="N15" s="2" t="s">
        <v>86</v>
      </c>
      <c r="O15" s="2" t="s">
        <v>87</v>
      </c>
    </row>
    <row r="16" spans="7:15" ht="31.5">
      <c r="G16" s="2" t="s">
        <v>14</v>
      </c>
      <c r="H16" s="2">
        <v>40</v>
      </c>
      <c r="I16" s="2" t="s">
        <v>88</v>
      </c>
      <c r="J16" s="2" t="s">
        <v>89</v>
      </c>
      <c r="K16" s="2" t="s">
        <v>90</v>
      </c>
      <c r="L16" s="2" t="s">
        <v>91</v>
      </c>
      <c r="M16" s="2" t="s">
        <v>92</v>
      </c>
      <c r="N16" s="2" t="s">
        <v>93</v>
      </c>
      <c r="O16" s="2" t="s">
        <v>94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Calibração Manômetros</vt:lpstr>
      <vt:lpstr>TUBO 1</vt:lpstr>
      <vt:lpstr>TUBO 2</vt:lpstr>
      <vt:lpstr>TUBO 3</vt:lpstr>
      <vt:lpstr>TUBO 4</vt:lpstr>
      <vt:lpstr>Dados dos Tubos</vt:lpstr>
      <vt:lpstr>Plan5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leq</dc:creator>
  <cp:lastModifiedBy>leq</cp:lastModifiedBy>
  <dcterms:created xsi:type="dcterms:W3CDTF">2017-08-28T21:44:25Z</dcterms:created>
  <dcterms:modified xsi:type="dcterms:W3CDTF">2018-04-24T13:40:30Z</dcterms:modified>
</cp:coreProperties>
</file>